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456" windowWidth="26320" windowHeight="1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<sst xmlns="http://schemas.openxmlformats.org/spreadsheetml/2006/main" count="102" uniqueCount="76">
  <si>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Losers 2, 3, 6 or 8 were each more cost effective at getting votes than winners 4, 5 or 17. </t>
  </si>
  <si>
    <t>http://www.accuratedemocracy.com/d_stv.htm</t>
  </si>
  <si>
    <t>http://www.accuratedemocracy.com/p_intro.htm</t>
  </si>
  <si>
    <t>STV for Projects</t>
  </si>
  <si>
    <t>STV introduction</t>
  </si>
  <si>
    <t>#</t>
  </si>
  <si>
    <t>was available.</t>
  </si>
  <si>
    <t>Rogers Park Bike Network, Phase 2</t>
  </si>
  <si>
    <t>Neighborhood Kiosks</t>
  </si>
  <si>
    <t>New Residential Street Lights: Morse Ave., from Ravenswood Ave. to Clark St. and Sherwin Ave., from Sheridan Rd. to the Lake.</t>
  </si>
  <si>
    <t>https://docs.google.com/spreadsheet/ccc?key=0AmxLFEkJdvAHdDRZbmkyTFZ4dXpyUjdWWXZFekFFOHc&amp;hl=en_US</t>
  </si>
  <si>
    <t>Participatory Budget Votes in Chicago 2011</t>
  </si>
  <si>
    <t>*</t>
  </si>
  <si>
    <t>Up to 6 votes per ballot. But no Cumulative Voting, for example 6 votes for 1 item.</t>
  </si>
  <si>
    <t>TRAFFIC &amp; SAFETY COMMITTEE</t>
  </si>
  <si>
    <t>All voting rules leave some wasted votes. But plurality rules are the worst at wasting votes.</t>
  </si>
  <si>
    <t>Number of winning projects</t>
  </si>
  <si>
    <t>Improve the Intersection of Ridge, Touhy and Rogers</t>
  </si>
  <si>
    <t>New Canopy at Rogers Park Metra Station</t>
  </si>
  <si>
    <t>If we combine projects 2, 3 and 6, we may get a project worth 634 votes for $85,000.*</t>
  </si>
  <si>
    <t>About 1000 voters cast ballots.</t>
  </si>
  <si>
    <t>Fair $ Tally</t>
  </si>
  <si>
    <t>Police Cameras outside the Loyola Park Fieldhouse and at Rogers &amp; Damen and Estes &amp; Glenwood.</t>
  </si>
  <si>
    <t>Police Cameras at Lunt &amp; Paulina, and Touhy &amp; Sheridan</t>
  </si>
  <si>
    <t>Sidewalk Repairs: 7201 W Claremont Ave, 2301 W Chase and 2101 W Fargo</t>
  </si>
  <si>
    <t>Supported by __ votes</t>
  </si>
  <si>
    <t>But a voter who had voted for both is not allowed to give 2 votes to the new proposal.</t>
  </si>
  <si>
    <t>So it is worth your time to vote!</t>
  </si>
  <si>
    <t>Decorative Light Poles</t>
  </si>
  <si>
    <t>Fair $ Rank</t>
  </si>
  <si>
    <t>New Playground at Touhy Park</t>
  </si>
  <si>
    <t>Total spent</t>
  </si>
  <si>
    <t>Votes of ≈Value</t>
  </si>
  <si>
    <t>$/Vote</t>
  </si>
  <si>
    <t>Additional Residential Street Lighting: Chase Ave &amp; Birchwood Ave, from Ridge Blvd to Damen Ave.</t>
  </si>
  <si>
    <t>Transferable Votes are more fair: Fewer votes get wasted. And each item must get enough votes to pay its cost.</t>
  </si>
  <si>
    <t>% of votes</t>
  </si>
  <si>
    <t xml:space="preserve">According to voters, this is a much better use of money than project 5. </t>
  </si>
  <si>
    <t>If we combine projects 2 and 6, we might get a project worth 486 votes for $60,000.*</t>
  </si>
  <si>
    <t>Project Title</t>
  </si>
  <si>
    <t>Cumulative or Transferable Votes could help all votes have an equal dollar value.</t>
  </si>
  <si>
    <t>PARKS &amp; ENVIRONMENT COMMITTEE</t>
  </si>
  <si>
    <t>Ashland and Greenleaf Traffic/Pedestrian Signal</t>
  </si>
  <si>
    <t>That still costs less than project 5.</t>
  </si>
  <si>
    <t>That is half the cost of project 5 and almost twice the votes.</t>
  </si>
  <si>
    <t>Winner</t>
  </si>
  <si>
    <t>If we combine projects 2, 3, 6 and 8, we get a project worth 821 votes for $125,000.*</t>
  </si>
  <si>
    <t>TOTALS</t>
  </si>
  <si>
    <t>Anyone who voted for six "losers" (such as 2, 3, 6, 7, 8) funded nothing, $0.</t>
  </si>
  <si>
    <t>Beach Path Extensions at Jarvis, Touhy and Morse</t>
  </si>
  <si>
    <t>TRANSPORTATION COMMITTEE</t>
  </si>
  <si>
    <t>votes were cast.</t>
  </si>
  <si>
    <t>For approx. equal ≈ votes, divide budgets by</t>
  </si>
  <si>
    <t>Sidewalk Repairs: 1944-46 W Touhy, 1901 and 2001 blocks of W Lunt, and 1247-65 W Columbia</t>
  </si>
  <si>
    <t>Install handicapped ramps and paint crosswalks at Ridge Blvd. and Chase Ave.</t>
  </si>
  <si>
    <t>New Residential Street Lights: Estes Ave., from Asland Blvd. to Glenwood Ave.</t>
  </si>
  <si>
    <t>Voting based on transferable votes is much more fair.</t>
  </si>
  <si>
    <t>PUBLIC SAFETY COMMITTEE</t>
  </si>
  <si>
    <t>Rank</t>
  </si>
  <si>
    <t>Votes Cast</t>
  </si>
  <si>
    <t>New Residential Street Lights: Juneway Terr, from Asland Ave. to Sheridan Rd</t>
  </si>
  <si>
    <t xml:space="preserve">One vote for every </t>
  </si>
  <si>
    <t>Proposed Budget</t>
  </si>
  <si>
    <t>Additional Funds for Pottawatomie Park Dog Park</t>
  </si>
  <si>
    <t>The average winning vote spent</t>
  </si>
  <si>
    <t>average value of a vote.</t>
  </si>
  <si>
    <t>Won</t>
  </si>
  <si>
    <t>Anyone who voted for all six winners won $1,031.</t>
  </si>
  <si>
    <t>Bike Racks</t>
  </si>
  <si>
    <t>Sidewalk Repairs: 7202 N Hamilton Ave, 1147-51 W Pratt, 7300 N Rogers Ave and 1250 W Sherwin</t>
  </si>
  <si>
    <t>Metra Underpass Renovation at Birchwood, Touhy &amp; Estes</t>
  </si>
  <si>
    <t>The values of votes in the 49th Ward. by Robert Loring</t>
  </si>
  <si>
    <t>ART &amp; OTHER PROJECTS COMMITTEE</t>
  </si>
  <si>
    <t>Running Total</t>
  </si>
  <si>
    <t>Even the winning votes were wildly unequal !</t>
  </si>
  <si>
    <t>A ballot with 6 winners spent about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</si>
</sst>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Trebuchet MS"/>
      <family val="0"/>
    </font>
    <font>
      <b/>
      <sz val="11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8"/>
      <name val="Trebuchet MS"/>
      <family val="0"/>
    </font>
    <font>
      <sz val="10"/>
      <color indexed="8"/>
      <name val="Trebuchet MS"/>
      <family val="0"/>
    </font>
    <font>
      <u val="single"/>
      <sz val="10"/>
      <color indexed="8"/>
      <name val="Trebuchet MS"/>
      <family val="0"/>
    </font>
    <font>
      <b/>
      <sz val="10"/>
      <name val="Trebuchet MS"/>
      <family val="0"/>
    </font>
    <font>
      <b/>
      <sz val="10"/>
      <color indexed="8"/>
      <name val="Trebuchet MS"/>
      <family val="0"/>
    </font>
    <font>
      <u val="single"/>
      <sz val="10"/>
      <color indexed="12"/>
      <name val="Trebuchet MS"/>
      <family val="0"/>
    </font>
    <font>
      <b/>
      <sz val="10"/>
      <color indexed="11"/>
      <name val="Trebuchet MS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2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8" fillId="0" borderId="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wrapText="1"/>
    </xf>
    <xf numFmtId="164" fontId="7" fillId="0" borderId="7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wrapText="1"/>
    </xf>
    <xf numFmtId="0" fontId="7" fillId="0" borderId="8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9" fillId="3" borderId="9" xfId="0" applyNumberFormat="1" applyFont="1" applyFill="1" applyBorder="1" applyAlignment="1">
      <alignment wrapText="1"/>
    </xf>
    <xf numFmtId="0" fontId="9" fillId="3" borderId="3" xfId="0" applyNumberFormat="1" applyFont="1" applyFill="1" applyBorder="1" applyAlignment="1">
      <alignment wrapText="1"/>
    </xf>
    <xf numFmtId="0" fontId="9" fillId="3" borderId="4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0" fillId="4" borderId="0" xfId="0" applyNumberFormat="1" applyFont="1" applyFill="1" applyAlignment="1">
      <alignment/>
    </xf>
    <xf numFmtId="0" fontId="10" fillId="4" borderId="0" xfId="0" applyNumberFormat="1" applyFont="1" applyFill="1" applyAlignment="1">
      <alignment vertical="center"/>
    </xf>
    <xf numFmtId="0" fontId="11" fillId="4" borderId="0" xfId="0" applyNumberFormat="1" applyFont="1" applyFill="1" applyAlignment="1">
      <alignment horizontal="center"/>
    </xf>
    <xf numFmtId="0" fontId="7" fillId="4" borderId="0" xfId="0" applyNumberFormat="1" applyFont="1" applyFill="1" applyAlignment="1">
      <alignment vertical="center"/>
    </xf>
    <xf numFmtId="0" fontId="7" fillId="4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7" fillId="0" borderId="7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>
      <alignment horizontal="right" wrapText="1"/>
    </xf>
    <xf numFmtId="0" fontId="0" fillId="0" borderId="7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/>
    </xf>
    <xf numFmtId="0" fontId="10" fillId="5" borderId="3" xfId="0" applyNumberFormat="1" applyFont="1" applyFill="1" applyBorder="1" applyAlignment="1">
      <alignment/>
    </xf>
    <xf numFmtId="0" fontId="10" fillId="5" borderId="3" xfId="0" applyNumberFormat="1" applyFont="1" applyFill="1" applyBorder="1" applyAlignment="1">
      <alignment horizontal="center" wrapText="1"/>
    </xf>
    <xf numFmtId="0" fontId="10" fillId="5" borderId="3" xfId="0" applyNumberFormat="1" applyFont="1" applyFill="1" applyBorder="1" applyAlignment="1">
      <alignment horizontal="center"/>
    </xf>
    <xf numFmtId="0" fontId="10" fillId="5" borderId="4" xfId="0" applyNumberFormat="1" applyFont="1" applyFill="1" applyBorder="1" applyAlignment="1">
      <alignment horizontal="center"/>
    </xf>
    <xf numFmtId="0" fontId="12" fillId="5" borderId="10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 wrapText="1"/>
    </xf>
    <xf numFmtId="0" fontId="10" fillId="5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right" wrapText="1"/>
    </xf>
    <xf numFmtId="164" fontId="10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top"/>
    </xf>
    <xf numFmtId="164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10" fillId="6" borderId="0" xfId="0" applyNumberFormat="1" applyFont="1" applyFill="1" applyAlignment="1">
      <alignment vertical="top"/>
    </xf>
    <xf numFmtId="0" fontId="7" fillId="6" borderId="0" xfId="0" applyNumberFormat="1" applyFont="1" applyFill="1" applyAlignment="1">
      <alignment vertical="top"/>
    </xf>
    <xf numFmtId="164" fontId="7" fillId="6" borderId="0" xfId="0" applyNumberFormat="1" applyFont="1" applyFill="1" applyAlignment="1">
      <alignment/>
    </xf>
    <xf numFmtId="0" fontId="7" fillId="6" borderId="0" xfId="0" applyNumberFormat="1" applyFont="1" applyFill="1" applyAlignment="1">
      <alignment/>
    </xf>
    <xf numFmtId="0" fontId="10" fillId="6" borderId="0" xfId="0" applyNumberFormat="1" applyFont="1" applyFill="1" applyAlignment="1">
      <alignment horizontal="center" wrapText="1"/>
    </xf>
    <xf numFmtId="0" fontId="7" fillId="6" borderId="0" xfId="0" applyNumberFormat="1" applyFont="1" applyFill="1" applyAlignment="1">
      <alignment horizontal="right" wrapText="1"/>
    </xf>
    <xf numFmtId="164" fontId="10" fillId="6" borderId="0" xfId="0" applyNumberFormat="1" applyFont="1" applyFill="1" applyAlignment="1">
      <alignment/>
    </xf>
    <xf numFmtId="0" fontId="7" fillId="6" borderId="0" xfId="0" applyNumberFormat="1" applyFont="1" applyFill="1" applyAlignment="1">
      <alignment vertical="center"/>
    </xf>
    <xf numFmtId="1" fontId="10" fillId="7" borderId="0" xfId="0" applyNumberFormat="1" applyFont="1" applyFill="1" applyAlignment="1">
      <alignment vertical="top"/>
    </xf>
    <xf numFmtId="164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vertical="top"/>
    </xf>
    <xf numFmtId="164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wrapText="1"/>
    </xf>
    <xf numFmtId="0" fontId="10" fillId="7" borderId="0" xfId="0" applyNumberFormat="1" applyFont="1" applyFill="1" applyAlignment="1">
      <alignment horizontal="center" wrapText="1"/>
    </xf>
    <xf numFmtId="0" fontId="7" fillId="7" borderId="0" xfId="0" applyNumberFormat="1" applyFont="1" applyFill="1" applyAlignment="1">
      <alignment horizontal="right" wrapText="1"/>
    </xf>
    <xf numFmtId="0" fontId="7" fillId="7" borderId="0" xfId="0" applyNumberFormat="1" applyFont="1" applyFill="1" applyAlignment="1">
      <alignment vertical="center"/>
    </xf>
    <xf numFmtId="1" fontId="10" fillId="3" borderId="0" xfId="0" applyNumberFormat="1" applyFont="1" applyFill="1" applyAlignment="1">
      <alignment vertical="top"/>
    </xf>
    <xf numFmtId="0" fontId="10" fillId="3" borderId="0" xfId="0" applyNumberFormat="1" applyFont="1" applyFill="1" applyAlignment="1">
      <alignment vertical="top"/>
    </xf>
    <xf numFmtId="164" fontId="10" fillId="3" borderId="0" xfId="0" applyNumberFormat="1" applyFont="1" applyFill="1" applyAlignment="1">
      <alignment/>
    </xf>
    <xf numFmtId="0" fontId="10" fillId="3" borderId="0" xfId="0" applyNumberFormat="1" applyFont="1" applyFill="1" applyAlignment="1">
      <alignment/>
    </xf>
    <xf numFmtId="0" fontId="7" fillId="3" borderId="0" xfId="0" applyNumberFormat="1" applyFont="1" applyFill="1" applyAlignment="1">
      <alignment wrapText="1"/>
    </xf>
    <xf numFmtId="0" fontId="10" fillId="3" borderId="0" xfId="0" applyNumberFormat="1" applyFont="1" applyFill="1" applyAlignment="1">
      <alignment horizontal="center" wrapText="1"/>
    </xf>
    <xf numFmtId="0" fontId="7" fillId="3" borderId="0" xfId="0" applyNumberFormat="1" applyFont="1" applyFill="1" applyAlignment="1">
      <alignment horizontal="right" wrapText="1"/>
    </xf>
    <xf numFmtId="0" fontId="7" fillId="3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top" wrapText="1"/>
    </xf>
    <xf numFmtId="1" fontId="7" fillId="0" borderId="7" xfId="0" applyNumberFormat="1" applyFont="1" applyFill="1" applyBorder="1" applyAlignment="1">
      <alignment vertical="top"/>
    </xf>
    <xf numFmtId="0" fontId="7" fillId="0" borderId="7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/>
    </xf>
    <xf numFmtId="0" fontId="10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vertical="center"/>
    </xf>
    <xf numFmtId="164" fontId="7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/>
    </xf>
    <xf numFmtId="0" fontId="7" fillId="6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7" fillId="6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right" wrapText="1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99CC"/>
      <rgbColor rgb="00C0C0C0"/>
      <rgbColor rgb="00000090"/>
      <rgbColor rgb="000000D4"/>
      <rgbColor rgb="00CCFFCC"/>
      <rgbColor rgb="00CCFFFF"/>
      <rgbColor rgb="00E6B8AF"/>
      <rgbColor rgb="00DD7E6B"/>
      <rgbColor rgb="00FFFFFF"/>
      <rgbColor rgb="00FFFF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workbookViewId="0" topLeftCell="A1">
      <selection activeCell="B38" sqref="B38"/>
    </sheetView>
  </sheetViews>
  <sheetFormatPr defaultColWidth="9.00390625" defaultRowHeight="12.75" customHeight="1"/>
  <cols>
    <col min="1" max="1" width="4.57421875" style="54" customWidth="1"/>
    <col min="2" max="2" width="56.00390625" style="54" customWidth="1"/>
    <col min="3" max="3" width="12.57421875" style="54" customWidth="1"/>
    <col min="4" max="4" width="8.421875" style="54" customWidth="1"/>
    <col min="5" max="5" width="7.00390625" style="54" customWidth="1"/>
    <col min="6" max="6" width="8.00390625" style="54" customWidth="1"/>
    <col min="7" max="7" width="19.57421875" style="54" customWidth="1"/>
    <col min="8" max="8" width="9.57421875" style="54" customWidth="1"/>
    <col min="9" max="9" width="9.8515625" style="54" customWidth="1"/>
    <col min="10" max="10" width="8.140625" style="54" customWidth="1"/>
    <col min="11" max="11" width="7.421875" style="54" customWidth="1"/>
    <col min="12" max="12" width="12.421875" style="54" customWidth="1"/>
    <col min="13" max="16384" width="9.00390625" style="54" customWidth="1"/>
  </cols>
  <sheetData>
    <row r="1" spans="1:12" s="11" customFormat="1" ht="12.75">
      <c r="A1" s="2"/>
      <c r="B1" s="3" t="s">
        <v>11</v>
      </c>
      <c r="C1" s="4"/>
      <c r="D1" s="5">
        <v>480000</v>
      </c>
      <c r="E1" s="6"/>
      <c r="F1" s="7" t="s">
        <v>6</v>
      </c>
      <c r="G1" s="6"/>
      <c r="H1" s="8">
        <f>SUM(D11:D31)</f>
        <v>4884</v>
      </c>
      <c r="I1" s="7" t="s">
        <v>51</v>
      </c>
      <c r="J1" s="7"/>
      <c r="K1" s="9"/>
      <c r="L1" s="10"/>
    </row>
    <row r="2" spans="2:12" s="11" customFormat="1" ht="12">
      <c r="B2" s="11" t="s">
        <v>71</v>
      </c>
      <c r="C2" s="12"/>
      <c r="D2" s="13" t="s">
        <v>20</v>
      </c>
      <c r="E2" s="14"/>
      <c r="F2" s="14"/>
      <c r="G2" s="14"/>
      <c r="H2" s="15">
        <f>D1/H1</f>
        <v>98.28009828009829</v>
      </c>
      <c r="I2" s="16" t="s">
        <v>65</v>
      </c>
      <c r="J2" s="17"/>
      <c r="K2" s="18"/>
      <c r="L2" s="19"/>
    </row>
    <row r="3" spans="3:12" s="11" customFormat="1" ht="12">
      <c r="C3" s="4"/>
      <c r="D3" s="20" t="s">
        <v>13</v>
      </c>
      <c r="E3" s="6"/>
      <c r="F3" s="6"/>
      <c r="G3" s="6"/>
      <c r="H3" s="6"/>
      <c r="I3" s="6"/>
      <c r="J3" s="6"/>
      <c r="K3" s="6"/>
      <c r="L3" s="6"/>
    </row>
    <row r="4" spans="2:12" s="11" customFormat="1" ht="12">
      <c r="B4" s="21"/>
      <c r="C4" s="22"/>
      <c r="D4" s="13" t="s">
        <v>40</v>
      </c>
      <c r="E4" s="14"/>
      <c r="F4" s="14"/>
      <c r="G4" s="14"/>
      <c r="H4" s="14"/>
      <c r="I4" s="14"/>
      <c r="J4" s="14"/>
      <c r="K4" s="14"/>
      <c r="L4" s="14"/>
    </row>
    <row r="5" spans="1:12" s="29" customFormat="1" ht="12">
      <c r="A5" s="23"/>
      <c r="B5" s="24" t="s">
        <v>74</v>
      </c>
      <c r="C5" s="25"/>
      <c r="D5" s="25"/>
      <c r="E5" s="25"/>
      <c r="F5" s="26"/>
      <c r="G5" s="27"/>
      <c r="H5" s="28"/>
      <c r="I5" s="28"/>
      <c r="J5" s="28"/>
      <c r="K5" s="28"/>
      <c r="L5" s="28"/>
    </row>
    <row r="6" spans="1:7" s="29" customFormat="1" ht="12">
      <c r="A6" s="30"/>
      <c r="B6" s="31" t="str">
        <f>"A vote for the Playground was worth $501. But a vote for the Bike Racks was worth only $31. That's "&amp;ROUND(H24/H11,0)&amp;" to 1."</f>
        <v>A vote for the Playground was worth $501. But a vote for the Bike Racks was worth only $31. That's 16 to 1.</v>
      </c>
      <c r="C6" s="32"/>
      <c r="D6" s="32"/>
      <c r="E6" s="32"/>
      <c r="F6" s="32"/>
      <c r="G6" s="32"/>
    </row>
    <row r="7" spans="2:7" s="11" customFormat="1" ht="12">
      <c r="B7" s="117" t="str">
        <f>"More than half the votes were completely 'wasted', because "&amp;(H1-F38)&amp;" votes, a majority, got nothing. *"</f>
        <v>More than half the votes were completely 'wasted', because 2562 votes, a majority, got nothing. *</v>
      </c>
      <c r="C7" s="117"/>
      <c r="D7" s="117"/>
      <c r="E7" s="117"/>
      <c r="F7" s="117"/>
      <c r="G7" s="35"/>
    </row>
    <row r="8" spans="2:12" s="11" customFormat="1" ht="12">
      <c r="B8" s="36" t="s">
        <v>35</v>
      </c>
      <c r="C8" s="36"/>
      <c r="D8" s="36"/>
      <c r="E8" s="36"/>
      <c r="F8" s="36"/>
      <c r="G8" s="37"/>
      <c r="H8" s="38" t="str">
        <f>HYPERLINK("http://www.accuratedemocracy.com/d_stv.htm","STV introduction.")</f>
        <v>STV introduction.</v>
      </c>
      <c r="I8" s="39"/>
      <c r="J8" s="38" t="str">
        <f>HYPERLINK("http://www.accuratedemocracy.com/p_intro.htm","STV for projects.")</f>
        <v>STV for projects.</v>
      </c>
      <c r="K8" s="40"/>
      <c r="L8" s="41"/>
    </row>
    <row r="9" spans="1:12" s="11" customFormat="1" ht="12">
      <c r="A9" s="42"/>
      <c r="B9" s="42"/>
      <c r="C9" s="42"/>
      <c r="D9" s="42"/>
      <c r="E9" s="43" t="s">
        <v>52</v>
      </c>
      <c r="F9" s="43"/>
      <c r="G9" s="44"/>
      <c r="H9" s="44"/>
      <c r="I9" s="45">
        <v>12000</v>
      </c>
      <c r="J9" s="21"/>
      <c r="K9" s="21"/>
      <c r="L9" s="21"/>
    </row>
    <row r="10" spans="1:12" ht="24">
      <c r="A10" s="46" t="s">
        <v>5</v>
      </c>
      <c r="B10" s="47" t="s">
        <v>39</v>
      </c>
      <c r="C10" s="48" t="s">
        <v>62</v>
      </c>
      <c r="D10" s="48" t="s">
        <v>59</v>
      </c>
      <c r="E10" s="49" t="s">
        <v>58</v>
      </c>
      <c r="F10" s="49" t="s">
        <v>45</v>
      </c>
      <c r="G10" s="50"/>
      <c r="H10" s="51" t="s">
        <v>33</v>
      </c>
      <c r="I10" s="52" t="s">
        <v>32</v>
      </c>
      <c r="J10" s="52" t="s">
        <v>29</v>
      </c>
      <c r="K10" s="52" t="s">
        <v>21</v>
      </c>
      <c r="L10" s="53" t="s">
        <v>73</v>
      </c>
    </row>
    <row r="11" spans="1:12" s="11" customFormat="1" ht="12">
      <c r="A11" s="55">
        <v>16.1</v>
      </c>
      <c r="B11" s="56" t="s">
        <v>68</v>
      </c>
      <c r="C11" s="57">
        <v>12000</v>
      </c>
      <c r="D11" s="56">
        <v>388</v>
      </c>
      <c r="E11" s="58">
        <f aca="true" t="shared" si="0" ref="E11:E31">RANK(D11,D$11:D$31,0)</f>
        <v>3</v>
      </c>
      <c r="F11" s="59" t="s">
        <v>66</v>
      </c>
      <c r="G11" s="60" t="s">
        <v>61</v>
      </c>
      <c r="H11" s="61">
        <f aca="true" t="shared" si="1" ref="H11:H31">ROUND((C11/D11),0)</f>
        <v>31</v>
      </c>
      <c r="I11" s="62">
        <f aca="true" t="shared" si="2" ref="I11:I31">ROUND((D11/(C11/I$9)),0)</f>
        <v>388</v>
      </c>
      <c r="J11" s="62">
        <f aca="true" t="shared" si="3" ref="J11:J31">RANK(I11,I$11:I$31,0)</f>
        <v>1</v>
      </c>
      <c r="K11" s="63" t="str">
        <f aca="true" t="shared" si="4" ref="K11:K31">IF((L11&lt;=D$1),"Won","")</f>
        <v>Won</v>
      </c>
      <c r="L11" s="64">
        <f>C11</f>
        <v>12000</v>
      </c>
    </row>
    <row r="12" spans="1:12" s="11" customFormat="1" ht="12">
      <c r="A12" s="55">
        <v>1</v>
      </c>
      <c r="B12" s="65" t="s">
        <v>70</v>
      </c>
      <c r="C12" s="57">
        <v>15000</v>
      </c>
      <c r="D12" s="56">
        <v>359</v>
      </c>
      <c r="E12" s="58">
        <f t="shared" si="0"/>
        <v>4</v>
      </c>
      <c r="F12" s="59" t="s">
        <v>66</v>
      </c>
      <c r="G12" s="60" t="s">
        <v>61</v>
      </c>
      <c r="H12" s="66">
        <f t="shared" si="1"/>
        <v>42</v>
      </c>
      <c r="I12" s="67">
        <f t="shared" si="2"/>
        <v>287</v>
      </c>
      <c r="J12" s="67">
        <f t="shared" si="3"/>
        <v>2</v>
      </c>
      <c r="K12" s="59" t="str">
        <f t="shared" si="4"/>
        <v>Won</v>
      </c>
      <c r="L12" s="68">
        <f aca="true" t="shared" si="5" ref="L12:L31">C12+L11</f>
        <v>27000</v>
      </c>
    </row>
    <row r="13" spans="1:12" s="11" customFormat="1" ht="12">
      <c r="A13" s="69">
        <v>2</v>
      </c>
      <c r="B13" s="70" t="s">
        <v>8</v>
      </c>
      <c r="C13" s="71">
        <v>15000</v>
      </c>
      <c r="D13" s="72">
        <v>189</v>
      </c>
      <c r="E13" s="58">
        <f t="shared" si="0"/>
        <v>12</v>
      </c>
      <c r="F13" s="73"/>
      <c r="G13" s="74" t="s">
        <v>61</v>
      </c>
      <c r="H13" s="75">
        <f t="shared" si="1"/>
        <v>79</v>
      </c>
      <c r="I13" s="76">
        <f t="shared" si="2"/>
        <v>151</v>
      </c>
      <c r="J13" s="76">
        <f t="shared" si="3"/>
        <v>3</v>
      </c>
      <c r="K13" s="73" t="str">
        <f t="shared" si="4"/>
        <v>Won</v>
      </c>
      <c r="L13" s="68">
        <f t="shared" si="5"/>
        <v>42000</v>
      </c>
    </row>
    <row r="14" spans="1:12" s="11" customFormat="1" ht="12">
      <c r="A14" s="69">
        <v>6</v>
      </c>
      <c r="B14" s="70" t="s">
        <v>63</v>
      </c>
      <c r="C14" s="71">
        <v>45000</v>
      </c>
      <c r="D14" s="72">
        <v>297</v>
      </c>
      <c r="E14" s="58">
        <f t="shared" si="0"/>
        <v>7</v>
      </c>
      <c r="F14" s="73"/>
      <c r="G14" s="74" t="s">
        <v>61</v>
      </c>
      <c r="H14" s="75">
        <f t="shared" si="1"/>
        <v>152</v>
      </c>
      <c r="I14" s="76">
        <f t="shared" si="2"/>
        <v>79</v>
      </c>
      <c r="J14" s="76">
        <f t="shared" si="3"/>
        <v>4</v>
      </c>
      <c r="K14" s="73" t="str">
        <f t="shared" si="4"/>
        <v>Won</v>
      </c>
      <c r="L14" s="68">
        <f t="shared" si="5"/>
        <v>87000</v>
      </c>
    </row>
    <row r="15" spans="1:12" s="11" customFormat="1" ht="12">
      <c r="A15" s="55">
        <v>15</v>
      </c>
      <c r="B15" s="65" t="s">
        <v>17</v>
      </c>
      <c r="C15" s="57">
        <v>75000</v>
      </c>
      <c r="D15" s="56">
        <v>494</v>
      </c>
      <c r="E15" s="58">
        <f t="shared" si="0"/>
        <v>1</v>
      </c>
      <c r="F15" s="59" t="s">
        <v>66</v>
      </c>
      <c r="G15" s="60" t="s">
        <v>61</v>
      </c>
      <c r="H15" s="66">
        <f t="shared" si="1"/>
        <v>152</v>
      </c>
      <c r="I15" s="67">
        <f t="shared" si="2"/>
        <v>79</v>
      </c>
      <c r="J15" s="67">
        <f t="shared" si="3"/>
        <v>4</v>
      </c>
      <c r="K15" s="59" t="str">
        <f t="shared" si="4"/>
        <v>Won</v>
      </c>
      <c r="L15" s="68">
        <f t="shared" si="5"/>
        <v>162000</v>
      </c>
    </row>
    <row r="16" spans="1:12" s="11" customFormat="1" ht="12">
      <c r="A16" s="69">
        <v>3</v>
      </c>
      <c r="B16" s="65" t="s">
        <v>28</v>
      </c>
      <c r="C16" s="57">
        <v>25000</v>
      </c>
      <c r="D16" s="56">
        <v>148</v>
      </c>
      <c r="E16" s="58">
        <f t="shared" si="0"/>
        <v>16</v>
      </c>
      <c r="G16" s="60" t="s">
        <v>61</v>
      </c>
      <c r="H16" s="71">
        <f t="shared" si="1"/>
        <v>169</v>
      </c>
      <c r="I16" s="67">
        <f t="shared" si="2"/>
        <v>71</v>
      </c>
      <c r="J16" s="67">
        <f t="shared" si="3"/>
        <v>6</v>
      </c>
      <c r="K16" s="59" t="str">
        <f t="shared" si="4"/>
        <v>Won</v>
      </c>
      <c r="L16" s="68">
        <f t="shared" si="5"/>
        <v>187000</v>
      </c>
    </row>
    <row r="17" spans="1:12" s="11" customFormat="1" ht="12">
      <c r="A17" s="69">
        <v>8</v>
      </c>
      <c r="B17" s="65" t="s">
        <v>23</v>
      </c>
      <c r="C17" s="57">
        <v>40000</v>
      </c>
      <c r="D17" s="56">
        <v>187</v>
      </c>
      <c r="E17" s="58">
        <f t="shared" si="0"/>
        <v>13</v>
      </c>
      <c r="G17" s="60" t="s">
        <v>61</v>
      </c>
      <c r="H17" s="71">
        <f t="shared" si="1"/>
        <v>214</v>
      </c>
      <c r="I17" s="67">
        <f t="shared" si="2"/>
        <v>56</v>
      </c>
      <c r="J17" s="67">
        <f t="shared" si="3"/>
        <v>7</v>
      </c>
      <c r="K17" s="59" t="str">
        <f t="shared" si="4"/>
        <v>Won</v>
      </c>
      <c r="L17" s="68">
        <f t="shared" si="5"/>
        <v>227000</v>
      </c>
    </row>
    <row r="18" spans="1:12" s="11" customFormat="1" ht="12">
      <c r="A18" s="77">
        <v>17</v>
      </c>
      <c r="B18" s="65" t="s">
        <v>7</v>
      </c>
      <c r="C18" s="57">
        <v>90000</v>
      </c>
      <c r="D18" s="56">
        <v>407</v>
      </c>
      <c r="E18" s="58">
        <f t="shared" si="0"/>
        <v>2</v>
      </c>
      <c r="F18" s="59" t="s">
        <v>66</v>
      </c>
      <c r="G18" s="60" t="s">
        <v>61</v>
      </c>
      <c r="H18" s="78">
        <f t="shared" si="1"/>
        <v>221</v>
      </c>
      <c r="I18" s="67">
        <f t="shared" si="2"/>
        <v>54</v>
      </c>
      <c r="J18" s="67">
        <f t="shared" si="3"/>
        <v>8</v>
      </c>
      <c r="K18" s="59" t="str">
        <f t="shared" si="4"/>
        <v>Won</v>
      </c>
      <c r="L18" s="68">
        <f t="shared" si="5"/>
        <v>317000</v>
      </c>
    </row>
    <row r="19" spans="1:12" s="11" customFormat="1" ht="12">
      <c r="A19" s="55">
        <v>7.1</v>
      </c>
      <c r="B19" s="65" t="s">
        <v>22</v>
      </c>
      <c r="C19" s="57">
        <v>60000</v>
      </c>
      <c r="D19" s="56">
        <v>253</v>
      </c>
      <c r="E19" s="58">
        <f t="shared" si="0"/>
        <v>8</v>
      </c>
      <c r="G19" s="60" t="s">
        <v>61</v>
      </c>
      <c r="H19" s="57">
        <f t="shared" si="1"/>
        <v>237</v>
      </c>
      <c r="I19" s="67">
        <f t="shared" si="2"/>
        <v>51</v>
      </c>
      <c r="J19" s="67">
        <f t="shared" si="3"/>
        <v>9</v>
      </c>
      <c r="K19" s="59" t="str">
        <f t="shared" si="4"/>
        <v>Won</v>
      </c>
      <c r="L19" s="68">
        <f t="shared" si="5"/>
        <v>377000</v>
      </c>
    </row>
    <row r="20" spans="1:12" s="11" customFormat="1" ht="12">
      <c r="A20" s="55">
        <v>18</v>
      </c>
      <c r="B20" s="65" t="s">
        <v>18</v>
      </c>
      <c r="C20" s="57">
        <v>50000</v>
      </c>
      <c r="D20" s="56">
        <v>205</v>
      </c>
      <c r="E20" s="58">
        <f t="shared" si="0"/>
        <v>10</v>
      </c>
      <c r="G20" s="60" t="s">
        <v>61</v>
      </c>
      <c r="H20" s="57">
        <f t="shared" si="1"/>
        <v>244</v>
      </c>
      <c r="I20" s="67">
        <f t="shared" si="2"/>
        <v>49</v>
      </c>
      <c r="J20" s="67">
        <f t="shared" si="3"/>
        <v>10</v>
      </c>
      <c r="K20" s="59" t="str">
        <f t="shared" si="4"/>
        <v>Won</v>
      </c>
      <c r="L20" s="68">
        <f t="shared" si="5"/>
        <v>427000</v>
      </c>
    </row>
    <row r="21" spans="1:12" s="11" customFormat="1" ht="12">
      <c r="A21" s="55">
        <v>14</v>
      </c>
      <c r="B21" s="65" t="s">
        <v>54</v>
      </c>
      <c r="C21" s="57">
        <v>40000</v>
      </c>
      <c r="D21" s="56">
        <v>147</v>
      </c>
      <c r="E21" s="58">
        <f t="shared" si="0"/>
        <v>17</v>
      </c>
      <c r="G21" s="60" t="s">
        <v>61</v>
      </c>
      <c r="H21" s="57">
        <f t="shared" si="1"/>
        <v>272</v>
      </c>
      <c r="I21" s="67">
        <f t="shared" si="2"/>
        <v>44</v>
      </c>
      <c r="J21" s="67">
        <f t="shared" si="3"/>
        <v>11</v>
      </c>
      <c r="K21" s="59" t="str">
        <f t="shared" si="4"/>
        <v>Won</v>
      </c>
      <c r="L21" s="68">
        <f t="shared" si="5"/>
        <v>467000</v>
      </c>
    </row>
    <row r="22" spans="1:12" s="11" customFormat="1" ht="12">
      <c r="A22" s="77">
        <v>4.1</v>
      </c>
      <c r="B22" s="79" t="s">
        <v>49</v>
      </c>
      <c r="C22" s="80">
        <v>105000</v>
      </c>
      <c r="D22" s="81">
        <v>325</v>
      </c>
      <c r="E22" s="82">
        <f t="shared" si="0"/>
        <v>6</v>
      </c>
      <c r="F22" s="83" t="s">
        <v>66</v>
      </c>
      <c r="G22" s="84" t="s">
        <v>61</v>
      </c>
      <c r="H22" s="80">
        <f t="shared" si="1"/>
        <v>323</v>
      </c>
      <c r="I22" s="85">
        <f t="shared" si="2"/>
        <v>37</v>
      </c>
      <c r="J22" s="85">
        <f t="shared" si="3"/>
        <v>12</v>
      </c>
      <c r="K22" s="83">
        <f t="shared" si="4"/>
      </c>
      <c r="L22" s="68">
        <f t="shared" si="5"/>
        <v>572000</v>
      </c>
    </row>
    <row r="23" spans="1:12" s="11" customFormat="1" ht="12">
      <c r="A23" s="55">
        <v>21</v>
      </c>
      <c r="B23" s="65" t="s">
        <v>53</v>
      </c>
      <c r="C23" s="57">
        <v>55000</v>
      </c>
      <c r="D23" s="56">
        <v>116</v>
      </c>
      <c r="E23" s="58">
        <f t="shared" si="0"/>
        <v>19</v>
      </c>
      <c r="G23" s="60" t="s">
        <v>61</v>
      </c>
      <c r="H23" s="57">
        <f t="shared" si="1"/>
        <v>474</v>
      </c>
      <c r="I23" s="67">
        <f t="shared" si="2"/>
        <v>25</v>
      </c>
      <c r="J23" s="67">
        <f t="shared" si="3"/>
        <v>13</v>
      </c>
      <c r="K23" s="59">
        <f t="shared" si="4"/>
      </c>
      <c r="L23" s="68">
        <f t="shared" si="5"/>
        <v>627000</v>
      </c>
    </row>
    <row r="24" spans="1:12" s="11" customFormat="1" ht="12">
      <c r="A24" s="86">
        <v>5</v>
      </c>
      <c r="B24" s="87" t="s">
        <v>30</v>
      </c>
      <c r="C24" s="88">
        <v>175000</v>
      </c>
      <c r="D24" s="89">
        <v>349</v>
      </c>
      <c r="E24" s="90">
        <f t="shared" si="0"/>
        <v>5</v>
      </c>
      <c r="F24" s="91" t="s">
        <v>66</v>
      </c>
      <c r="G24" s="92" t="s">
        <v>61</v>
      </c>
      <c r="H24" s="88">
        <f t="shared" si="1"/>
        <v>501</v>
      </c>
      <c r="I24" s="93">
        <f t="shared" si="2"/>
        <v>24</v>
      </c>
      <c r="J24" s="93">
        <f t="shared" si="3"/>
        <v>14</v>
      </c>
      <c r="K24" s="91">
        <f t="shared" si="4"/>
      </c>
      <c r="L24" s="68">
        <f t="shared" si="5"/>
        <v>802000</v>
      </c>
    </row>
    <row r="25" spans="1:12" s="11" customFormat="1" ht="12">
      <c r="A25" s="55">
        <v>11</v>
      </c>
      <c r="B25" s="65" t="s">
        <v>9</v>
      </c>
      <c r="C25" s="57">
        <v>120000</v>
      </c>
      <c r="D25" s="56">
        <v>198</v>
      </c>
      <c r="E25" s="58">
        <f t="shared" si="0"/>
        <v>11</v>
      </c>
      <c r="G25" s="60" t="s">
        <v>61</v>
      </c>
      <c r="H25" s="57">
        <f t="shared" si="1"/>
        <v>606</v>
      </c>
      <c r="I25" s="67">
        <f t="shared" si="2"/>
        <v>20</v>
      </c>
      <c r="J25" s="67">
        <f t="shared" si="3"/>
        <v>15</v>
      </c>
      <c r="K25" s="59">
        <f t="shared" si="4"/>
      </c>
      <c r="L25" s="68">
        <f t="shared" si="5"/>
        <v>922000</v>
      </c>
    </row>
    <row r="26" spans="1:12" s="11" customFormat="1" ht="12">
      <c r="A26" s="55">
        <v>10</v>
      </c>
      <c r="B26" s="65" t="s">
        <v>34</v>
      </c>
      <c r="C26" s="57">
        <v>60000</v>
      </c>
      <c r="D26" s="56">
        <v>98</v>
      </c>
      <c r="E26" s="58">
        <f t="shared" si="0"/>
        <v>20</v>
      </c>
      <c r="G26" s="60" t="s">
        <v>61</v>
      </c>
      <c r="H26" s="57">
        <f t="shared" si="1"/>
        <v>612</v>
      </c>
      <c r="I26" s="67">
        <f t="shared" si="2"/>
        <v>20</v>
      </c>
      <c r="J26" s="67">
        <f t="shared" si="3"/>
        <v>15</v>
      </c>
      <c r="K26" s="59">
        <f t="shared" si="4"/>
      </c>
      <c r="L26" s="68">
        <f t="shared" si="5"/>
        <v>982000</v>
      </c>
    </row>
    <row r="27" spans="1:12" s="11" customFormat="1" ht="12">
      <c r="A27" s="55">
        <v>19</v>
      </c>
      <c r="B27" s="65" t="s">
        <v>24</v>
      </c>
      <c r="C27" s="57">
        <v>145000</v>
      </c>
      <c r="D27" s="56">
        <v>212</v>
      </c>
      <c r="E27" s="58">
        <f t="shared" si="0"/>
        <v>9</v>
      </c>
      <c r="G27" s="60" t="s">
        <v>61</v>
      </c>
      <c r="H27" s="57">
        <f t="shared" si="1"/>
        <v>684</v>
      </c>
      <c r="I27" s="67">
        <f t="shared" si="2"/>
        <v>18</v>
      </c>
      <c r="J27" s="67">
        <f t="shared" si="3"/>
        <v>17</v>
      </c>
      <c r="K27" s="59">
        <f t="shared" si="4"/>
      </c>
      <c r="L27" s="68">
        <f t="shared" si="5"/>
        <v>1127000</v>
      </c>
    </row>
    <row r="28" spans="1:12" s="11" customFormat="1" ht="12">
      <c r="A28" s="55">
        <v>20</v>
      </c>
      <c r="B28" s="65" t="s">
        <v>69</v>
      </c>
      <c r="C28" s="57">
        <v>95000</v>
      </c>
      <c r="D28" s="56">
        <v>126</v>
      </c>
      <c r="E28" s="58">
        <f t="shared" si="0"/>
        <v>18</v>
      </c>
      <c r="G28" s="60" t="s">
        <v>61</v>
      </c>
      <c r="H28" s="57">
        <f t="shared" si="1"/>
        <v>754</v>
      </c>
      <c r="I28" s="67">
        <f t="shared" si="2"/>
        <v>16</v>
      </c>
      <c r="J28" s="67">
        <f t="shared" si="3"/>
        <v>18</v>
      </c>
      <c r="K28" s="59">
        <f t="shared" si="4"/>
      </c>
      <c r="L28" s="68">
        <f t="shared" si="5"/>
        <v>1222000</v>
      </c>
    </row>
    <row r="29" spans="1:12" s="11" customFormat="1" ht="12">
      <c r="A29" s="55">
        <v>12</v>
      </c>
      <c r="B29" s="65" t="s">
        <v>55</v>
      </c>
      <c r="C29" s="57">
        <v>120000</v>
      </c>
      <c r="D29" s="56">
        <v>153</v>
      </c>
      <c r="E29" s="58">
        <f t="shared" si="0"/>
        <v>14</v>
      </c>
      <c r="G29" s="60" t="s">
        <v>61</v>
      </c>
      <c r="H29" s="57">
        <f t="shared" si="1"/>
        <v>784</v>
      </c>
      <c r="I29" s="67">
        <f t="shared" si="2"/>
        <v>15</v>
      </c>
      <c r="J29" s="67">
        <f t="shared" si="3"/>
        <v>19</v>
      </c>
      <c r="K29" s="59">
        <f t="shared" si="4"/>
      </c>
      <c r="L29" s="68">
        <f t="shared" si="5"/>
        <v>1342000</v>
      </c>
    </row>
    <row r="30" spans="1:12" s="11" customFormat="1" ht="12">
      <c r="A30" s="55">
        <v>9</v>
      </c>
      <c r="B30" s="65" t="s">
        <v>60</v>
      </c>
      <c r="C30" s="57">
        <v>130000</v>
      </c>
      <c r="D30" s="56">
        <v>149</v>
      </c>
      <c r="E30" s="58">
        <f t="shared" si="0"/>
        <v>15</v>
      </c>
      <c r="G30" s="60" t="s">
        <v>61</v>
      </c>
      <c r="H30" s="57">
        <f t="shared" si="1"/>
        <v>872</v>
      </c>
      <c r="I30" s="67">
        <f t="shared" si="2"/>
        <v>14</v>
      </c>
      <c r="J30" s="67">
        <f t="shared" si="3"/>
        <v>20</v>
      </c>
      <c r="K30" s="59">
        <f t="shared" si="4"/>
      </c>
      <c r="L30" s="68">
        <f t="shared" si="5"/>
        <v>1472000</v>
      </c>
    </row>
    <row r="31" spans="1:12" s="11" customFormat="1" ht="12">
      <c r="A31" s="55">
        <v>13.1</v>
      </c>
      <c r="B31" s="65" t="s">
        <v>42</v>
      </c>
      <c r="C31" s="57">
        <v>320000</v>
      </c>
      <c r="D31" s="56">
        <v>84</v>
      </c>
      <c r="E31" s="58">
        <f t="shared" si="0"/>
        <v>21</v>
      </c>
      <c r="G31" s="60" t="s">
        <v>61</v>
      </c>
      <c r="H31" s="57">
        <f t="shared" si="1"/>
        <v>3810</v>
      </c>
      <c r="I31" s="67">
        <f t="shared" si="2"/>
        <v>3</v>
      </c>
      <c r="J31" s="67">
        <f t="shared" si="3"/>
        <v>21</v>
      </c>
      <c r="K31" s="59">
        <f t="shared" si="4"/>
      </c>
      <c r="L31" s="68">
        <f t="shared" si="5"/>
        <v>1792000</v>
      </c>
    </row>
    <row r="32" spans="1:2" s="11" customFormat="1" ht="12" hidden="1">
      <c r="A32" s="55">
        <v>0</v>
      </c>
      <c r="B32" s="94" t="s">
        <v>72</v>
      </c>
    </row>
    <row r="33" spans="1:2" s="11" customFormat="1" ht="12" hidden="1">
      <c r="A33" s="55">
        <v>4</v>
      </c>
      <c r="B33" s="94" t="s">
        <v>41</v>
      </c>
    </row>
    <row r="34" spans="1:2" s="11" customFormat="1" ht="12" hidden="1">
      <c r="A34" s="55">
        <v>7</v>
      </c>
      <c r="B34" s="94" t="s">
        <v>57</v>
      </c>
    </row>
    <row r="35" spans="1:2" s="11" customFormat="1" ht="12" hidden="1">
      <c r="A35" s="55">
        <v>13</v>
      </c>
      <c r="B35" s="94" t="s">
        <v>14</v>
      </c>
    </row>
    <row r="36" spans="1:12" s="11" customFormat="1" ht="12" hidden="1">
      <c r="A36" s="95">
        <v>16</v>
      </c>
      <c r="B36" s="96" t="s">
        <v>50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1" customFormat="1" ht="12">
      <c r="A37" s="97"/>
      <c r="B37" s="98" t="s">
        <v>47</v>
      </c>
      <c r="C37" s="99">
        <f>SUM(C11:C31)</f>
        <v>1792000</v>
      </c>
      <c r="D37" s="8">
        <f>SUM(D11:D31)</f>
        <v>4884</v>
      </c>
      <c r="E37" s="62"/>
      <c r="F37" s="100">
        <v>6</v>
      </c>
      <c r="G37" s="101" t="s">
        <v>16</v>
      </c>
      <c r="H37" s="102"/>
      <c r="I37" s="102"/>
      <c r="J37" s="100"/>
      <c r="K37" s="100">
        <v>11</v>
      </c>
      <c r="L37" s="62"/>
    </row>
    <row r="38" spans="1:11" ht="12">
      <c r="A38" s="11"/>
      <c r="B38" s="11"/>
      <c r="C38" s="11"/>
      <c r="D38" s="11"/>
      <c r="E38" s="11"/>
      <c r="F38" s="122">
        <f>SUMIF(F11:F31,"=Won",$D11:$D31)</f>
        <v>2322</v>
      </c>
      <c r="G38" s="104" t="s">
        <v>25</v>
      </c>
      <c r="H38" s="105"/>
      <c r="I38" s="105"/>
      <c r="K38" s="122">
        <f>SUMIF(K11:K31,"=Won",$D11:$D31)</f>
        <v>3074</v>
      </c>
    </row>
    <row r="39" spans="1:12" ht="12">
      <c r="A39" s="11"/>
      <c r="B39" s="56" t="s">
        <v>67</v>
      </c>
      <c r="C39" s="11"/>
      <c r="D39" s="11"/>
      <c r="E39" s="11"/>
      <c r="F39" s="119">
        <f>F38/D37</f>
        <v>0.47542997542997545</v>
      </c>
      <c r="G39" s="118"/>
      <c r="H39" s="120" t="s">
        <v>36</v>
      </c>
      <c r="I39" s="121"/>
      <c r="K39" s="119">
        <f>K38/D37</f>
        <v>0.6294021294021294</v>
      </c>
      <c r="L39" s="119">
        <f>K38/F38</f>
        <v>1.3238587424633936</v>
      </c>
    </row>
    <row r="40" spans="1:11" s="11" customFormat="1" ht="12">
      <c r="A40" s="54"/>
      <c r="B40" s="33" t="s">
        <v>48</v>
      </c>
      <c r="C40" s="1"/>
      <c r="E40" s="106">
        <f>SUMIF(F11:F31,"=Won",$C11:$C31)</f>
        <v>472000</v>
      </c>
      <c r="F40" s="106"/>
      <c r="H40" s="107" t="s">
        <v>31</v>
      </c>
      <c r="I40" s="108"/>
      <c r="J40" s="106">
        <f>SUMIF(K11:K31,"=Won",$C11:$C31)</f>
        <v>467000</v>
      </c>
      <c r="K40" s="41"/>
    </row>
    <row r="41" spans="2:11" s="11" customFormat="1" ht="12">
      <c r="B41" s="103" t="s">
        <v>56</v>
      </c>
      <c r="C41" s="56"/>
      <c r="D41" s="56"/>
      <c r="E41" s="56"/>
      <c r="F41" s="57">
        <f>ROUND((E40/F38),0)</f>
        <v>203</v>
      </c>
      <c r="G41" s="109" t="s">
        <v>64</v>
      </c>
      <c r="H41" s="41"/>
      <c r="I41" s="41"/>
      <c r="K41" s="57">
        <f>ROUND((J40/K38),0)</f>
        <v>152</v>
      </c>
    </row>
    <row r="42" spans="3:11" s="11" customFormat="1" ht="12">
      <c r="C42" s="123"/>
      <c r="D42" s="54"/>
      <c r="E42" s="54"/>
      <c r="F42" s="57">
        <f>F41*6</f>
        <v>1218</v>
      </c>
      <c r="G42" s="109" t="s">
        <v>75</v>
      </c>
      <c r="H42" s="41"/>
      <c r="I42" s="41"/>
      <c r="K42" s="57">
        <f>K41*6</f>
        <v>912</v>
      </c>
    </row>
    <row r="43" spans="1:11" ht="12">
      <c r="A43" s="124" t="s">
        <v>0</v>
      </c>
      <c r="B43" s="124"/>
      <c r="C43" s="124"/>
      <c r="D43" s="124"/>
      <c r="E43" s="124"/>
      <c r="F43" s="116"/>
      <c r="G43" s="11"/>
      <c r="H43" s="110" t="s">
        <v>27</v>
      </c>
      <c r="I43" s="105"/>
      <c r="J43" s="105"/>
      <c r="K43" s="105"/>
    </row>
    <row r="44" spans="1:5" s="11" customFormat="1" ht="12">
      <c r="A44" s="54"/>
      <c r="B44" s="111" t="s">
        <v>38</v>
      </c>
      <c r="C44" s="41"/>
      <c r="D44" s="41"/>
      <c r="E44" s="41"/>
    </row>
    <row r="45" spans="2:5" s="11" customFormat="1" ht="12">
      <c r="B45" s="111" t="s">
        <v>37</v>
      </c>
      <c r="C45" s="41"/>
      <c r="D45" s="41"/>
      <c r="E45" s="41"/>
    </row>
    <row r="46" spans="1:5" s="11" customFormat="1" ht="12">
      <c r="A46" s="112" t="s">
        <v>12</v>
      </c>
      <c r="B46" s="33" t="s">
        <v>26</v>
      </c>
      <c r="C46" s="41"/>
      <c r="D46" s="41"/>
      <c r="E46" s="41"/>
    </row>
    <row r="48" spans="2:5" s="11" customFormat="1" ht="12">
      <c r="B48" s="111" t="s">
        <v>19</v>
      </c>
      <c r="C48" s="41"/>
      <c r="D48" s="41"/>
      <c r="E48" s="41"/>
    </row>
    <row r="49" spans="2:5" s="11" customFormat="1" ht="12">
      <c r="B49" s="111" t="s">
        <v>44</v>
      </c>
      <c r="C49" s="41"/>
      <c r="D49" s="72"/>
      <c r="E49" s="113"/>
    </row>
    <row r="51" spans="2:5" s="11" customFormat="1" ht="12">
      <c r="B51" s="111" t="s">
        <v>46</v>
      </c>
      <c r="C51" s="41"/>
      <c r="D51" s="41"/>
      <c r="E51" s="41"/>
    </row>
    <row r="52" spans="2:5" s="11" customFormat="1" ht="12">
      <c r="B52" s="72" t="s">
        <v>43</v>
      </c>
      <c r="C52" s="111"/>
      <c r="D52" s="41"/>
      <c r="E52" s="41"/>
    </row>
    <row r="53" s="11" customFormat="1" ht="12">
      <c r="F53" s="21"/>
    </row>
    <row r="54" spans="2:8" s="11" customFormat="1" ht="12">
      <c r="B54" s="33" t="s">
        <v>10</v>
      </c>
      <c r="C54" s="34"/>
      <c r="D54" s="34"/>
      <c r="E54" s="34"/>
      <c r="F54" s="34"/>
      <c r="G54" s="34"/>
      <c r="H54" s="34"/>
    </row>
    <row r="55" spans="2:8" s="11" customFormat="1" ht="12">
      <c r="B55" s="56" t="s">
        <v>1</v>
      </c>
      <c r="C55" s="34" t="s">
        <v>4</v>
      </c>
      <c r="D55" s="34"/>
      <c r="E55" s="35"/>
      <c r="F55" s="35"/>
      <c r="G55" s="35"/>
      <c r="H55" s="35"/>
    </row>
    <row r="56" spans="2:8" s="11" customFormat="1" ht="12">
      <c r="B56" s="56" t="s">
        <v>2</v>
      </c>
      <c r="C56" s="34" t="s">
        <v>3</v>
      </c>
      <c r="D56" s="34"/>
      <c r="E56" s="35"/>
      <c r="F56" s="35"/>
      <c r="G56" s="35"/>
      <c r="H56" s="35"/>
    </row>
    <row r="57" spans="2:8" s="11" customFormat="1" ht="12">
      <c r="B57" s="35"/>
      <c r="C57" s="35"/>
      <c r="D57" s="35"/>
      <c r="E57" s="35"/>
      <c r="F57" s="35"/>
      <c r="G57" s="35"/>
      <c r="H57" s="35"/>
    </row>
    <row r="58" spans="2:8" s="11" customFormat="1" ht="12">
      <c r="B58" s="34" t="str">
        <f>((((("The "&amp;F38)&amp;" winning votes got $")&amp;E40)&amp;". Their fair share was less than half as much, $")&amp;ROUND((F38*H2),0))&amp;"."</f>
        <v>The 2322 winning votes got $472000. Their fair share was less than half as much, $228206.</v>
      </c>
      <c r="C58" s="34"/>
      <c r="D58" s="34"/>
      <c r="E58" s="34"/>
      <c r="F58" s="34"/>
      <c r="G58" s="35"/>
      <c r="H58" s="35"/>
    </row>
    <row r="59" spans="2:8" s="11" customFormat="1" ht="12">
      <c r="B59" s="34" t="str">
        <f>((("The majority of votes, "&amp;(H1-F38))&amp;", got zero. Their fair share was $")&amp;ROUND((H2*SUM((H1-F38))),0))&amp;"."</f>
        <v>The majority of votes, 2562, got zero. Their fair share was $251794.</v>
      </c>
      <c r="C59" s="34"/>
      <c r="D59" s="34"/>
      <c r="E59" s="34"/>
      <c r="F59" s="34"/>
      <c r="G59" s="56"/>
      <c r="H59" s="35"/>
    </row>
    <row r="60" spans="1:8" ht="12">
      <c r="A60" s="112" t="s">
        <v>12</v>
      </c>
      <c r="B60" s="114" t="s">
        <v>15</v>
      </c>
      <c r="C60" s="114"/>
      <c r="D60" s="114"/>
      <c r="E60" s="114"/>
      <c r="F60" s="114"/>
      <c r="G60" s="115"/>
      <c r="H60" s="115"/>
    </row>
    <row r="61" spans="3:8" ht="12">
      <c r="C61" s="115"/>
      <c r="D61" s="115"/>
      <c r="E61" s="115"/>
      <c r="F61" s="115"/>
      <c r="G61" s="115"/>
      <c r="H61" s="115"/>
    </row>
  </sheetData>
  <mergeCells count="38">
    <mergeCell ref="D1:E1"/>
    <mergeCell ref="F1:G1"/>
    <mergeCell ref="I1:J1"/>
    <mergeCell ref="D2:G2"/>
    <mergeCell ref="I2:K2"/>
    <mergeCell ref="D3:L3"/>
    <mergeCell ref="D4:L4"/>
    <mergeCell ref="B5:F5"/>
    <mergeCell ref="B6:G6"/>
    <mergeCell ref="B8:G8"/>
    <mergeCell ref="H8:I8"/>
    <mergeCell ref="J8:L8"/>
    <mergeCell ref="B7:F7"/>
    <mergeCell ref="B40:C40"/>
    <mergeCell ref="A43:E43"/>
    <mergeCell ref="E9:H9"/>
    <mergeCell ref="G37:I37"/>
    <mergeCell ref="G38:I38"/>
    <mergeCell ref="E40:F40"/>
    <mergeCell ref="H40:I40"/>
    <mergeCell ref="H39:I39"/>
    <mergeCell ref="J40:K40"/>
    <mergeCell ref="G41:I41"/>
    <mergeCell ref="G42:I42"/>
    <mergeCell ref="C56:D56"/>
    <mergeCell ref="C55:D55"/>
    <mergeCell ref="H43:K43"/>
    <mergeCell ref="B44:E44"/>
    <mergeCell ref="B45:E45"/>
    <mergeCell ref="B46:E46"/>
    <mergeCell ref="B48:E48"/>
    <mergeCell ref="B49:C49"/>
    <mergeCell ref="B59:F59"/>
    <mergeCell ref="B60:F60"/>
    <mergeCell ref="B51:E51"/>
    <mergeCell ref="C52:E52"/>
    <mergeCell ref="B54:H54"/>
    <mergeCell ref="B58:F58"/>
  </mergeCells>
  <printOptions horizontalCentered="1"/>
  <pageMargins left="0.5" right="0.5" top="0.5" bottom="0.5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 customHeight="1"/>
  <cols>
    <col min="1" max="6" width="13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 customHeight="1"/>
  <cols>
    <col min="1" max="6" width="13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Loring</cp:lastModifiedBy>
  <cp:lastPrinted>2011-11-25T02:53:48Z</cp:lastPrinted>
  <cp:category/>
  <cp:version/>
  <cp:contentType/>
  <cp:contentStatus/>
</cp:coreProperties>
</file>